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contabilidad1\Desktop\EJECUCION PRESUPUESTAL (OAI) 2025\"/>
    </mc:Choice>
  </mc:AlternateContent>
  <xr:revisionPtr revIDLastSave="0" documentId="13_ncr:1_{4D7B4555-7FDF-4C67-9966-B5DECBC44F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JUNIO-2025 (OAI)" sheetId="19" r:id="rId1"/>
  </sheets>
  <externalReferences>
    <externalReference r:id="rId2"/>
  </externalReferences>
  <definedNames>
    <definedName name="_xlnm.Print_Area" localSheetId="0">'EJECUCION JUNIO-2025 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4" i="19" l="1"/>
  <c r="B12" i="19"/>
  <c r="C32" i="19"/>
  <c r="C25" i="19"/>
  <c r="C54" i="19"/>
  <c r="C33" i="19"/>
  <c r="C37" i="19"/>
  <c r="C19" i="19"/>
  <c r="C26" i="19"/>
  <c r="C23" i="19"/>
  <c r="C31" i="19"/>
  <c r="C34" i="19"/>
  <c r="C55" i="19"/>
  <c r="C56" i="19"/>
  <c r="C35" i="19"/>
  <c r="B33" i="19"/>
  <c r="C30" i="19"/>
  <c r="C20" i="19"/>
  <c r="C58" i="19"/>
  <c r="C57" i="19"/>
  <c r="H59" i="19"/>
  <c r="H39" i="19"/>
  <c r="H37" i="19"/>
  <c r="H36" i="19"/>
  <c r="H35" i="19"/>
  <c r="H34" i="19"/>
  <c r="H33" i="19"/>
  <c r="H32" i="19"/>
  <c r="H31" i="19"/>
  <c r="H30" i="19"/>
  <c r="H29" i="19"/>
  <c r="H27" i="19"/>
  <c r="H26" i="19"/>
  <c r="H25" i="19"/>
  <c r="H24" i="19"/>
  <c r="H23" i="19"/>
  <c r="H22" i="19"/>
  <c r="H21" i="19"/>
  <c r="H20" i="19"/>
  <c r="H19" i="19"/>
  <c r="H14" i="19"/>
  <c r="B58" i="19" l="1"/>
  <c r="B37" i="19"/>
  <c r="B32" i="19"/>
  <c r="B31" i="19"/>
  <c r="B26" i="19"/>
  <c r="B25" i="19"/>
  <c r="B59" i="19"/>
  <c r="B57" i="19"/>
  <c r="B56" i="19"/>
  <c r="B55" i="19"/>
  <c r="B35" i="19"/>
  <c r="B34" i="19"/>
  <c r="B30" i="19"/>
  <c r="B29" i="19"/>
  <c r="B27" i="19"/>
  <c r="B24" i="19"/>
  <c r="B23" i="19"/>
  <c r="B20" i="19"/>
  <c r="B19" i="19"/>
  <c r="B17" i="19"/>
  <c r="B14" i="19"/>
  <c r="B13" i="19"/>
  <c r="J38" i="19" l="1"/>
  <c r="C28" i="19" l="1"/>
  <c r="C18" i="19"/>
  <c r="C12" i="19"/>
  <c r="C72" i="19"/>
  <c r="C69" i="19"/>
  <c r="C64" i="19"/>
  <c r="C46" i="19"/>
  <c r="C38" i="19"/>
  <c r="C76" i="19" l="1"/>
  <c r="C88" i="19" s="1"/>
  <c r="C11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<sst xmlns="http://schemas.openxmlformats.org/spreadsheetml/2006/main" count="108" uniqueCount="108">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</sst>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50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866775</xdr:colOff>
      <xdr:row>103</xdr:row>
      <xdr:rowOff>0</xdr:rowOff>
    </xdr:from>
    <xdr:to>
      <xdr:col>5</xdr:col>
      <xdr:colOff>942975</xdr:colOff>
      <xdr:row>107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153400" y="201930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314339</xdr:colOff>
      <xdr:row>101</xdr:row>
      <xdr:rowOff>66675</xdr:rowOff>
    </xdr:from>
    <xdr:to>
      <xdr:col>3</xdr:col>
      <xdr:colOff>271159</xdr:colOff>
      <xdr:row>111</xdr:row>
      <xdr:rowOff>142240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493591" y="1982374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542925</xdr:colOff>
      <xdr:row>104</xdr:row>
      <xdr:rowOff>47625</xdr:rowOff>
    </xdr:from>
    <xdr:to>
      <xdr:col>0</xdr:col>
      <xdr:colOff>3581400</xdr:colOff>
      <xdr:row>112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469225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bilidad1\Desktop\EJECUCION%20PRESUPUESTAL%202025%20SNS\EJECUCION%20PRESUPUESTAL%20MAYO%202025%20CECANOT%20(SNS).xlsx" TargetMode="External"/><Relationship Id="rId1" Type="http://schemas.openxmlformats.org/officeDocument/2006/relationships/externalLinkPath" Target="/Users/contabilidad1/Desktop/EJECUCION%20PRESUPUESTAL%202025%20SNS/EJECUCION%20PRESUPUESTAL%20MAYO%202025%20CECANOT%20(S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G11">
            <v>852848.15</v>
          </cell>
        </row>
        <row r="16">
          <cell r="G16">
            <v>496734.43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6200</v>
          </cell>
        </row>
        <row r="20">
          <cell r="G20">
            <v>578672</v>
          </cell>
        </row>
        <row r="21">
          <cell r="G21">
            <v>648969.51</v>
          </cell>
        </row>
        <row r="22">
          <cell r="G22">
            <v>2488354.9699999997</v>
          </cell>
        </row>
        <row r="23">
          <cell r="G23">
            <v>1112315.8400000001</v>
          </cell>
        </row>
        <row r="24">
          <cell r="G24">
            <v>0</v>
          </cell>
        </row>
        <row r="26">
          <cell r="G26">
            <v>300707.3</v>
          </cell>
        </row>
        <row r="27">
          <cell r="G27">
            <v>0</v>
          </cell>
        </row>
        <row r="28">
          <cell r="G28">
            <v>471082.55</v>
          </cell>
        </row>
        <row r="29">
          <cell r="G29">
            <v>5894169.3899999997</v>
          </cell>
        </row>
        <row r="30">
          <cell r="G30">
            <v>24864.99</v>
          </cell>
        </row>
        <row r="31">
          <cell r="G31">
            <v>4295</v>
          </cell>
        </row>
        <row r="32">
          <cell r="G32">
            <v>5922387.0199999996</v>
          </cell>
        </row>
        <row r="33">
          <cell r="G33">
            <v>0</v>
          </cell>
        </row>
        <row r="34">
          <cell r="G34">
            <v>21363762.810000002</v>
          </cell>
        </row>
        <row r="37">
          <cell r="G37">
            <v>236000</v>
          </cell>
        </row>
        <row r="56">
          <cell r="G56">
            <v>288510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topLeftCell="A66" workbookViewId="0">
      <selection activeCell="D94" sqref="D94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5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7" t="s">
        <v>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6" ht="18.75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6" ht="15.75" x14ac:dyDescent="0.25">
      <c r="A7" s="48" t="s">
        <v>107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6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1133035887</v>
      </c>
      <c r="C11" s="26">
        <f>C12+C18+C28+C38+C46+C54+C64+C69+C72</f>
        <v>-1.862645149230957E-9</v>
      </c>
      <c r="D11" s="26">
        <f t="shared" si="0"/>
        <v>48194252.340000004</v>
      </c>
      <c r="E11" s="26">
        <f t="shared" si="0"/>
        <v>81661345.039999992</v>
      </c>
      <c r="F11" s="26">
        <f t="shared" si="0"/>
        <v>103187359.19</v>
      </c>
      <c r="G11" s="26">
        <f t="shared" ref="G11:O11" si="1">G12+G18+G28+G38+G46+G54+G64+G69+G72</f>
        <v>84072046.700000003</v>
      </c>
      <c r="H11" s="26">
        <f t="shared" si="1"/>
        <v>72679414.879999995</v>
      </c>
      <c r="I11" s="26">
        <f t="shared" si="1"/>
        <v>78322394.270000011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468116812.41999996</v>
      </c>
    </row>
    <row r="12" spans="1:16" x14ac:dyDescent="0.25">
      <c r="A12" s="36" t="s">
        <v>2</v>
      </c>
      <c r="B12" s="23">
        <f>B13+B14+B15+B16+B17</f>
        <v>587978352</v>
      </c>
      <c r="C12" s="23">
        <f>C13+C14+C15+C16+C17</f>
        <v>0</v>
      </c>
      <c r="D12" s="24">
        <f>SUM(D13:D17)</f>
        <v>31998100.98</v>
      </c>
      <c r="E12" s="24">
        <f t="shared" ref="E12:P12" si="2">SUM(E13:E17)</f>
        <v>49185437.770000003</v>
      </c>
      <c r="F12" s="24">
        <f t="shared" si="2"/>
        <v>33822328.410000004</v>
      </c>
      <c r="G12" s="24">
        <f t="shared" si="2"/>
        <v>33239975.170000002</v>
      </c>
      <c r="H12" s="24">
        <f t="shared" si="2"/>
        <v>32842389.07</v>
      </c>
      <c r="I12" s="24">
        <f t="shared" si="2"/>
        <v>56671527.640000001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237759759.04000002</v>
      </c>
    </row>
    <row r="13" spans="1:16" ht="18.75" customHeight="1" x14ac:dyDescent="0.25">
      <c r="A13" s="40" t="s">
        <v>3</v>
      </c>
      <c r="B13" s="29">
        <f>221643881+99407624+27318519+2984784+836760</f>
        <v>352191568</v>
      </c>
      <c r="C13" s="9">
        <v>0</v>
      </c>
      <c r="D13" s="1">
        <v>27294487.07</v>
      </c>
      <c r="E13" s="14">
        <v>28066204.52</v>
      </c>
      <c r="F13" s="1">
        <v>28199602.920000002</v>
      </c>
      <c r="G13" s="1">
        <v>28528309.440000001</v>
      </c>
      <c r="H13" s="1">
        <v>27283030.84</v>
      </c>
      <c r="I13" s="45">
        <v>27903268.800000001</v>
      </c>
      <c r="J13" s="1"/>
      <c r="K13" s="1"/>
      <c r="L13" s="1"/>
      <c r="M13" s="1"/>
      <c r="N13" s="1"/>
      <c r="O13" s="1"/>
      <c r="P13" s="16">
        <f>D13+E13+F13+G13+H13+I13+J13+K13+L13+M13+N13+O13</f>
        <v>167274903.59</v>
      </c>
    </row>
    <row r="14" spans="1:16" x14ac:dyDescent="0.25">
      <c r="A14" s="40" t="s">
        <v>4</v>
      </c>
      <c r="B14" s="29">
        <f>5580000+230000000-50000000+796956</f>
        <v>186376956</v>
      </c>
      <c r="C14" s="9">
        <v>0</v>
      </c>
      <c r="D14" s="1">
        <v>506618</v>
      </c>
      <c r="E14" s="1">
        <v>16926339.050000001</v>
      </c>
      <c r="F14" s="1">
        <v>1438584.1</v>
      </c>
      <c r="G14" s="1">
        <v>508618</v>
      </c>
      <c r="H14" s="1">
        <f>508618+[1]VS!$G$11</f>
        <v>1361466.15</v>
      </c>
      <c r="I14" s="1">
        <v>24572327.780000001</v>
      </c>
      <c r="J14" s="1"/>
      <c r="K14" s="1"/>
      <c r="L14" s="1"/>
      <c r="M14" s="1"/>
      <c r="N14" s="1"/>
      <c r="O14" s="1"/>
      <c r="P14" s="16">
        <f t="shared" ref="P14:P45" si="3">D14+E14+F14+G14+H14+I14+J14+K14+L14+M14+N14+O14</f>
        <v>45313953.079999998</v>
      </c>
    </row>
    <row r="15" spans="1:16" x14ac:dyDescent="0.25">
      <c r="A15" s="40" t="s">
        <v>36</v>
      </c>
      <c r="B15" s="29">
        <v>0</v>
      </c>
      <c r="C15" s="9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/>
      <c r="J15" s="1">
        <v>0</v>
      </c>
      <c r="K15" s="1"/>
      <c r="L15" s="1"/>
      <c r="M15" s="1"/>
      <c r="N15" s="1">
        <v>0</v>
      </c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/>
      <c r="J16" s="1">
        <v>0</v>
      </c>
      <c r="K16" s="1"/>
      <c r="L16" s="1"/>
      <c r="M16" s="1"/>
      <c r="N16" s="1">
        <v>0</v>
      </c>
      <c r="O16" s="1"/>
      <c r="P16" s="16">
        <f t="shared" si="3"/>
        <v>0</v>
      </c>
    </row>
    <row r="17" spans="1:16" x14ac:dyDescent="0.25">
      <c r="A17" s="40" t="s">
        <v>6</v>
      </c>
      <c r="B17" s="29">
        <f>22762552+22794658+3852618</f>
        <v>49409828</v>
      </c>
      <c r="C17" s="9">
        <v>0</v>
      </c>
      <c r="D17" s="1">
        <v>4196995.91</v>
      </c>
      <c r="E17" s="1">
        <v>4192894.2</v>
      </c>
      <c r="F17" s="1">
        <v>4184141.39</v>
      </c>
      <c r="G17" s="1">
        <v>4203047.7300000004</v>
      </c>
      <c r="H17" s="1">
        <v>4197892.08</v>
      </c>
      <c r="I17" s="1">
        <v>4195931.0599999996</v>
      </c>
      <c r="J17" s="1"/>
      <c r="K17" s="1"/>
      <c r="L17" s="1"/>
      <c r="M17" s="1"/>
      <c r="N17" s="1"/>
      <c r="O17" s="1"/>
      <c r="P17" s="16">
        <f t="shared" si="3"/>
        <v>25170902.370000001</v>
      </c>
    </row>
    <row r="18" spans="1:16" x14ac:dyDescent="0.25">
      <c r="A18" s="37" t="s">
        <v>7</v>
      </c>
      <c r="B18" s="12">
        <f>B19+B20+B21+B22+B23+B24+B25+B26+B27</f>
        <v>73341536</v>
      </c>
      <c r="C18" s="8">
        <f>C19+C20+C21+C22+C23+C24+C25+C26+C27</f>
        <v>-4284263</v>
      </c>
      <c r="D18" s="8">
        <f>SUM(D19:D27)</f>
        <v>0</v>
      </c>
      <c r="E18" s="8">
        <f t="shared" ref="E18:O18" si="4">SUM(E19:E27)</f>
        <v>8496250.6500000004</v>
      </c>
      <c r="F18" s="8">
        <f>SUM(F19:F27)</f>
        <v>9620714.1400000006</v>
      </c>
      <c r="G18" s="8">
        <f t="shared" si="4"/>
        <v>3587586.5300000003</v>
      </c>
      <c r="H18" s="8">
        <f t="shared" si="4"/>
        <v>5331246.75</v>
      </c>
      <c r="I18" s="8">
        <f t="shared" si="4"/>
        <v>1629966.86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28665764.93</v>
      </c>
    </row>
    <row r="19" spans="1:16" ht="15" customHeight="1" x14ac:dyDescent="0.25">
      <c r="A19" s="40" t="s">
        <v>8</v>
      </c>
      <c r="B19" s="29">
        <f>5000000+4570000+334041+554900</f>
        <v>10458941</v>
      </c>
      <c r="C19" s="9">
        <f>-150000-184041-700000</f>
        <v>-1034041</v>
      </c>
      <c r="D19" s="1"/>
      <c r="E19" s="1">
        <v>5071888</v>
      </c>
      <c r="F19" s="1">
        <v>1785551.51</v>
      </c>
      <c r="G19" s="1">
        <v>696734.43</v>
      </c>
      <c r="H19" s="1">
        <f>[1]VS!G16</f>
        <v>496734.43</v>
      </c>
      <c r="I19" s="1">
        <v>135451</v>
      </c>
      <c r="J19" s="1"/>
      <c r="K19" s="1"/>
      <c r="L19" s="1"/>
      <c r="M19" s="1"/>
      <c r="N19" s="1"/>
      <c r="O19" s="1"/>
      <c r="P19" s="16">
        <f t="shared" si="3"/>
        <v>8186359.3699999992</v>
      </c>
    </row>
    <row r="20" spans="1:16" x14ac:dyDescent="0.25">
      <c r="A20" s="40" t="s">
        <v>9</v>
      </c>
      <c r="B20" s="29">
        <f>100000+100000</f>
        <v>200000</v>
      </c>
      <c r="C20" s="9">
        <f>-100000-100000</f>
        <v>-200000</v>
      </c>
      <c r="D20" s="1"/>
      <c r="E20" s="1">
        <v>0</v>
      </c>
      <c r="F20" s="1">
        <v>0</v>
      </c>
      <c r="G20" s="1">
        <v>0</v>
      </c>
      <c r="H20" s="1">
        <f>[1]VS!G17</f>
        <v>0</v>
      </c>
      <c r="I20" s="1">
        <v>0</v>
      </c>
      <c r="J20" s="1"/>
      <c r="K20" s="1"/>
      <c r="L20" s="1"/>
      <c r="M20" s="1"/>
      <c r="N20" s="1"/>
      <c r="O20" s="1"/>
      <c r="P20" s="16">
        <f t="shared" si="3"/>
        <v>0</v>
      </c>
    </row>
    <row r="21" spans="1:16" x14ac:dyDescent="0.25">
      <c r="A21" s="40" t="s">
        <v>10</v>
      </c>
      <c r="B21" s="29">
        <v>0</v>
      </c>
      <c r="C21" s="9">
        <v>0</v>
      </c>
      <c r="D21" s="1"/>
      <c r="E21" s="1">
        <v>0</v>
      </c>
      <c r="F21" s="1">
        <v>0</v>
      </c>
      <c r="G21" s="1">
        <v>0</v>
      </c>
      <c r="H21" s="1">
        <f>[1]VS!G18</f>
        <v>0</v>
      </c>
      <c r="I21" s="1">
        <v>0</v>
      </c>
      <c r="J21" s="1"/>
      <c r="K21" s="1"/>
      <c r="L21" s="1"/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0</v>
      </c>
      <c r="C22" s="9">
        <v>-3000</v>
      </c>
      <c r="D22" s="1"/>
      <c r="E22" s="1">
        <v>4000</v>
      </c>
      <c r="F22" s="1">
        <v>114550</v>
      </c>
      <c r="G22" s="1">
        <v>0</v>
      </c>
      <c r="H22" s="1">
        <f>[1]VS!G19</f>
        <v>6200</v>
      </c>
      <c r="I22" s="1">
        <v>32000</v>
      </c>
      <c r="J22" s="1"/>
      <c r="K22" s="1"/>
      <c r="L22" s="1"/>
      <c r="M22" s="1"/>
      <c r="N22" s="1"/>
      <c r="O22" s="1"/>
      <c r="P22" s="16">
        <f t="shared" si="3"/>
        <v>156750</v>
      </c>
    </row>
    <row r="23" spans="1:16" x14ac:dyDescent="0.25">
      <c r="A23" s="40" t="s">
        <v>12</v>
      </c>
      <c r="B23" s="29">
        <f>89144+858304+5900000</f>
        <v>6847448</v>
      </c>
      <c r="C23" s="9">
        <f>-89144-657114-2000000-18000-300000</f>
        <v>-3064258</v>
      </c>
      <c r="D23" s="1"/>
      <c r="E23" s="1">
        <v>0</v>
      </c>
      <c r="F23" s="1">
        <v>669801.28</v>
      </c>
      <c r="G23" s="1">
        <v>179327.67</v>
      </c>
      <c r="H23" s="1">
        <f>[1]VS!G20</f>
        <v>578672</v>
      </c>
      <c r="I23" s="1">
        <v>169023.2</v>
      </c>
      <c r="J23" s="1"/>
      <c r="K23" s="1"/>
      <c r="L23" s="1"/>
      <c r="M23" s="1"/>
      <c r="N23" s="1"/>
      <c r="O23" s="1"/>
      <c r="P23" s="16">
        <f t="shared" si="3"/>
        <v>1596824.1500000001</v>
      </c>
    </row>
    <row r="24" spans="1:16" x14ac:dyDescent="0.25">
      <c r="A24" s="40" t="s">
        <v>13</v>
      </c>
      <c r="B24" s="29">
        <f>10000000+1360455+4212000</f>
        <v>15572455</v>
      </c>
      <c r="C24" s="9">
        <v>-2900000</v>
      </c>
      <c r="D24" s="1"/>
      <c r="E24" s="1">
        <v>1430404.47</v>
      </c>
      <c r="F24" s="1">
        <v>658084.28</v>
      </c>
      <c r="G24" s="1">
        <v>590011.66</v>
      </c>
      <c r="H24" s="1">
        <f>[1]VS!G21</f>
        <v>648969.51</v>
      </c>
      <c r="I24" s="1">
        <v>650929.56000000006</v>
      </c>
      <c r="J24" s="1"/>
      <c r="K24" s="1"/>
      <c r="L24" s="1"/>
      <c r="M24" s="1"/>
      <c r="N24" s="1"/>
      <c r="O24" s="1"/>
      <c r="P24" s="16">
        <f t="shared" si="3"/>
        <v>3978399.48</v>
      </c>
    </row>
    <row r="25" spans="1:16" x14ac:dyDescent="0.25">
      <c r="A25" s="40" t="s">
        <v>14</v>
      </c>
      <c r="B25" s="29">
        <f>5000000+328000+590509+300000+800000+236542+5000000+251000+1278550+200000+300180+222725</f>
        <v>14507506</v>
      </c>
      <c r="C25" s="9">
        <f>-100000+2964788-236542-200000</f>
        <v>2428246</v>
      </c>
      <c r="D25" s="1"/>
      <c r="E25" s="1">
        <v>5362.3</v>
      </c>
      <c r="F25" s="1">
        <v>1726696.59</v>
      </c>
      <c r="G25" s="1">
        <v>1899130.37</v>
      </c>
      <c r="H25" s="1">
        <f>[1]VS!G22</f>
        <v>2488354.9699999997</v>
      </c>
      <c r="I25" s="1">
        <v>99763.1</v>
      </c>
      <c r="J25" s="1"/>
      <c r="K25" s="1"/>
      <c r="L25" s="1"/>
      <c r="M25" s="1"/>
      <c r="N25" s="1"/>
      <c r="O25" s="1"/>
      <c r="P25" s="16">
        <f t="shared" si="3"/>
        <v>6219307.3300000001</v>
      </c>
    </row>
    <row r="26" spans="1:16" x14ac:dyDescent="0.25">
      <c r="A26" s="40" t="s">
        <v>15</v>
      </c>
      <c r="B26" s="29">
        <f>552111+63595+479465+1500000+200000+600000+1445015+4800000+7115000</f>
        <v>16755186</v>
      </c>
      <c r="C26" s="9">
        <f>-50000-200000-400000-13595-2600-45015-1300000</f>
        <v>-2011210</v>
      </c>
      <c r="D26" s="1"/>
      <c r="E26" s="1">
        <v>163485.28</v>
      </c>
      <c r="F26" s="1">
        <v>1312524.78</v>
      </c>
      <c r="G26" s="1">
        <v>222382.4</v>
      </c>
      <c r="H26" s="1">
        <f>[1]VS!G23</f>
        <v>1112315.8400000001</v>
      </c>
      <c r="I26" s="1">
        <v>542800</v>
      </c>
      <c r="J26" s="1"/>
      <c r="K26" s="1"/>
      <c r="L26" s="1"/>
      <c r="M26" s="1"/>
      <c r="N26" s="1"/>
      <c r="O26" s="1"/>
      <c r="P26" s="16">
        <f t="shared" si="3"/>
        <v>3353508.3</v>
      </c>
    </row>
    <row r="27" spans="1:16" x14ac:dyDescent="0.25">
      <c r="A27" s="40" t="s">
        <v>37</v>
      </c>
      <c r="B27" s="29">
        <f>2000000+7000000</f>
        <v>9000000</v>
      </c>
      <c r="C27" s="44">
        <v>2500000</v>
      </c>
      <c r="D27" s="1"/>
      <c r="E27" s="1">
        <v>1821110.6</v>
      </c>
      <c r="F27" s="1">
        <v>3353505.7</v>
      </c>
      <c r="G27" s="1">
        <v>0</v>
      </c>
      <c r="H27" s="1">
        <f>[1]VS!G24</f>
        <v>0</v>
      </c>
      <c r="I27" s="1">
        <v>0</v>
      </c>
      <c r="J27" s="1"/>
      <c r="K27" s="1"/>
      <c r="L27" s="1"/>
      <c r="M27" s="1"/>
      <c r="N27" s="1"/>
      <c r="O27" s="1"/>
      <c r="P27" s="16">
        <f t="shared" si="3"/>
        <v>5174616.3000000007</v>
      </c>
    </row>
    <row r="28" spans="1:16" x14ac:dyDescent="0.25">
      <c r="A28" s="37" t="s">
        <v>16</v>
      </c>
      <c r="B28" s="12">
        <f>B29+B30+B31+B32+B33+B34+B35+B36+B37</f>
        <v>398237929</v>
      </c>
      <c r="C28" s="8">
        <f>C29+C30+C31+C32+C33+C34+C35+C36+C37</f>
        <v>11576676.649999999</v>
      </c>
      <c r="D28" s="8">
        <f>SUM(D29:D37)</f>
        <v>16043651.359999999</v>
      </c>
      <c r="E28" s="8">
        <f t="shared" ref="E28:N28" si="5">SUM(E29:E37)</f>
        <v>23750356.619999997</v>
      </c>
      <c r="F28" s="8">
        <f t="shared" si="5"/>
        <v>51656532.309999995</v>
      </c>
      <c r="G28" s="8">
        <f t="shared" si="5"/>
        <v>46716645</v>
      </c>
      <c r="H28" s="8">
        <f t="shared" si="5"/>
        <v>33981269.060000002</v>
      </c>
      <c r="I28" s="8">
        <f t="shared" si="5"/>
        <v>19697127.770000003</v>
      </c>
      <c r="J28" s="8">
        <f t="shared" si="5"/>
        <v>0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191845582.12</v>
      </c>
    </row>
    <row r="29" spans="1:16" x14ac:dyDescent="0.25">
      <c r="A29" s="40" t="s">
        <v>17</v>
      </c>
      <c r="B29" s="29">
        <f>15000000</f>
        <v>15000000</v>
      </c>
      <c r="C29" s="9">
        <v>0</v>
      </c>
      <c r="D29" s="1">
        <v>0</v>
      </c>
      <c r="E29" s="1">
        <v>219779.99</v>
      </c>
      <c r="F29" s="1">
        <v>2213640.02</v>
      </c>
      <c r="G29" s="1">
        <v>3802787.2</v>
      </c>
      <c r="H29" s="1">
        <f>[1]VS!G26</f>
        <v>300707.3</v>
      </c>
      <c r="I29" s="1">
        <v>1088486.81</v>
      </c>
      <c r="J29" s="1"/>
      <c r="K29" s="1"/>
      <c r="L29" s="1"/>
      <c r="M29" s="1"/>
      <c r="N29" s="1"/>
      <c r="O29" s="1"/>
      <c r="P29" s="16">
        <f t="shared" si="3"/>
        <v>7625401.3200000003</v>
      </c>
    </row>
    <row r="30" spans="1:16" x14ac:dyDescent="0.25">
      <c r="A30" s="40" t="s">
        <v>18</v>
      </c>
      <c r="B30" s="29">
        <f>350000+200000+200000+150543</f>
        <v>900543</v>
      </c>
      <c r="C30" s="9">
        <f>-350000-80000-211</f>
        <v>-430211</v>
      </c>
      <c r="D30" s="1">
        <v>91368.960000000006</v>
      </c>
      <c r="E30" s="1">
        <v>722260.89</v>
      </c>
      <c r="F30" s="1">
        <v>0</v>
      </c>
      <c r="G30" s="1">
        <v>0</v>
      </c>
      <c r="H30" s="1">
        <f>[1]VS!G27</f>
        <v>0</v>
      </c>
      <c r="I30" s="1">
        <v>0</v>
      </c>
      <c r="J30" s="1"/>
      <c r="K30" s="1"/>
      <c r="L30" s="1"/>
      <c r="M30" s="1"/>
      <c r="N30" s="1"/>
      <c r="O30" s="1"/>
      <c r="P30" s="16">
        <f t="shared" si="3"/>
        <v>813629.85</v>
      </c>
    </row>
    <row r="31" spans="1:16" x14ac:dyDescent="0.25">
      <c r="A31" s="40" t="s">
        <v>19</v>
      </c>
      <c r="B31" s="29">
        <f>224619356+1000000+500000-221619356+1500000</f>
        <v>6000000</v>
      </c>
      <c r="C31" s="9">
        <f>-500000-1000000+200000</f>
        <v>-1300000</v>
      </c>
      <c r="D31" s="1">
        <v>569300.91</v>
      </c>
      <c r="E31" s="1">
        <v>24426</v>
      </c>
      <c r="F31" s="1">
        <v>2489118.5</v>
      </c>
      <c r="G31" s="1">
        <v>2040818.26</v>
      </c>
      <c r="H31" s="1">
        <f>[1]VS!G28</f>
        <v>471082.55</v>
      </c>
      <c r="I31" s="1">
        <v>940873</v>
      </c>
      <c r="J31" s="1"/>
      <c r="K31" s="1"/>
      <c r="L31" s="1"/>
      <c r="M31" s="1"/>
      <c r="N31" s="1"/>
      <c r="O31" s="1"/>
      <c r="P31" s="16">
        <f t="shared" si="3"/>
        <v>6535619.2199999997</v>
      </c>
    </row>
    <row r="32" spans="1:16" x14ac:dyDescent="0.25">
      <c r="A32" s="40" t="s">
        <v>20</v>
      </c>
      <c r="B32" s="29">
        <f>32130265+85400000-9508725</f>
        <v>108021540</v>
      </c>
      <c r="C32" s="9">
        <f>-14000000-1000000</f>
        <v>-15000000</v>
      </c>
      <c r="D32" s="1">
        <v>6347954.8700000001</v>
      </c>
      <c r="E32" s="1">
        <v>3156830</v>
      </c>
      <c r="F32" s="1">
        <v>13037272.029999999</v>
      </c>
      <c r="G32" s="1">
        <v>9536482.4399999995</v>
      </c>
      <c r="H32" s="1">
        <f>[1]VS!G29</f>
        <v>5894169.3899999997</v>
      </c>
      <c r="I32" s="1">
        <v>3293638</v>
      </c>
      <c r="J32" s="1"/>
      <c r="K32" s="1"/>
      <c r="L32" s="1"/>
      <c r="M32" s="1"/>
      <c r="N32" s="1"/>
      <c r="O32" s="1"/>
      <c r="P32" s="16">
        <f t="shared" si="3"/>
        <v>41266346.729999997</v>
      </c>
    </row>
    <row r="33" spans="1:16" x14ac:dyDescent="0.25">
      <c r="A33" s="40" t="s">
        <v>21</v>
      </c>
      <c r="B33" s="29">
        <f>2000000-50000</f>
        <v>1950000</v>
      </c>
      <c r="C33" s="9">
        <f>-1000000-50000</f>
        <v>-1050000</v>
      </c>
      <c r="D33" s="1">
        <v>475239.95</v>
      </c>
      <c r="E33" s="1">
        <v>3951.06</v>
      </c>
      <c r="F33" s="1">
        <v>2004</v>
      </c>
      <c r="G33" s="1">
        <v>255116</v>
      </c>
      <c r="H33" s="1">
        <f>[1]VS!G30</f>
        <v>24864.99</v>
      </c>
      <c r="I33" s="1">
        <v>197768</v>
      </c>
      <c r="J33" s="1"/>
      <c r="K33" s="1"/>
      <c r="L33" s="1"/>
      <c r="M33" s="1"/>
      <c r="N33" s="1"/>
      <c r="O33" s="1"/>
      <c r="P33" s="16">
        <f t="shared" si="3"/>
        <v>958944</v>
      </c>
    </row>
    <row r="34" spans="1:16" x14ac:dyDescent="0.25">
      <c r="A34" s="40" t="s">
        <v>22</v>
      </c>
      <c r="B34" s="29">
        <f>150000+500000+426858</f>
        <v>1076858</v>
      </c>
      <c r="C34" s="9">
        <f>-94722.44-200000</f>
        <v>-294722.44</v>
      </c>
      <c r="D34" s="1">
        <v>140691.9</v>
      </c>
      <c r="E34" s="1">
        <v>12893.96</v>
      </c>
      <c r="F34" s="1">
        <v>260321.54</v>
      </c>
      <c r="G34" s="1">
        <v>0</v>
      </c>
      <c r="H34" s="1">
        <f>[1]VS!G31</f>
        <v>4295</v>
      </c>
      <c r="I34" s="1">
        <v>0</v>
      </c>
      <c r="J34" s="1"/>
      <c r="K34" s="1"/>
      <c r="L34" s="1"/>
      <c r="M34" s="1"/>
      <c r="N34" s="1"/>
      <c r="O34" s="1"/>
      <c r="P34" s="16">
        <f t="shared" si="3"/>
        <v>418202.4</v>
      </c>
    </row>
    <row r="35" spans="1:16" x14ac:dyDescent="0.25">
      <c r="A35" s="40" t="s">
        <v>23</v>
      </c>
      <c r="B35" s="29">
        <f>3092532+1500000+1230640+50000000+410460+250500+200000+300000</f>
        <v>56984132</v>
      </c>
      <c r="C35" s="9">
        <f>-400000-5220+16141625.51</f>
        <v>15736405.51</v>
      </c>
      <c r="D35" s="1">
        <v>0</v>
      </c>
      <c r="E35" s="1">
        <v>8758639.1099999994</v>
      </c>
      <c r="F35" s="1">
        <v>11358116.52</v>
      </c>
      <c r="G35" s="1">
        <v>6942280.5</v>
      </c>
      <c r="H35" s="1">
        <f>[1]VS!G32</f>
        <v>5922387.0199999996</v>
      </c>
      <c r="I35" s="1">
        <v>377000</v>
      </c>
      <c r="J35" s="1"/>
      <c r="K35" s="1"/>
      <c r="L35" s="1"/>
      <c r="M35" s="1"/>
      <c r="N35" s="1"/>
      <c r="O35" s="1"/>
      <c r="P35" s="16">
        <f t="shared" si="3"/>
        <v>33358423.149999999</v>
      </c>
    </row>
    <row r="36" spans="1:16" x14ac:dyDescent="0.25">
      <c r="A36" s="40" t="s">
        <v>38</v>
      </c>
      <c r="B36" s="29">
        <v>0</v>
      </c>
      <c r="C36" s="9">
        <v>0</v>
      </c>
      <c r="D36" s="1">
        <v>0</v>
      </c>
      <c r="E36" s="1">
        <v>0</v>
      </c>
      <c r="F36" s="1">
        <v>0</v>
      </c>
      <c r="G36" s="1">
        <v>0</v>
      </c>
      <c r="H36" s="1">
        <f>[1]VS!G33</f>
        <v>0</v>
      </c>
      <c r="I36" s="1">
        <v>0</v>
      </c>
      <c r="J36" s="1"/>
      <c r="K36" s="1"/>
      <c r="L36" s="1"/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2000000+3000000+25564500+1100000+1000000+500000+500000+500000+173619356+521000</f>
        <v>208304856</v>
      </c>
      <c r="C37" s="9">
        <f>-1000000+12500000-200000-266747.5-618047.92+300000+1000000+300000+700000+200000+1000000</f>
        <v>13915204.58</v>
      </c>
      <c r="D37" s="1">
        <v>8419094.7699999996</v>
      </c>
      <c r="E37" s="1">
        <v>10851575.609999999</v>
      </c>
      <c r="F37" s="1">
        <v>22296059.699999999</v>
      </c>
      <c r="G37" s="1">
        <v>24139160.600000001</v>
      </c>
      <c r="H37" s="1">
        <f>[1]VS!G34</f>
        <v>21363762.810000002</v>
      </c>
      <c r="I37" s="1">
        <v>13799361.960000001</v>
      </c>
      <c r="J37" s="1"/>
      <c r="K37" s="1"/>
      <c r="L37" s="1"/>
      <c r="M37" s="1"/>
      <c r="N37" s="1"/>
      <c r="O37" s="1"/>
      <c r="P37" s="16">
        <f t="shared" si="3"/>
        <v>100869015.45000002</v>
      </c>
    </row>
    <row r="38" spans="1:16" x14ac:dyDescent="0.25">
      <c r="A38" s="37" t="s">
        <v>25</v>
      </c>
      <c r="B38" s="12">
        <f>B39+B40+B41+B42+B43+B44+B45</f>
        <v>0</v>
      </c>
      <c r="C38" s="12">
        <f>C39+C40+C41+C42+C43+C44+C45</f>
        <v>0</v>
      </c>
      <c r="D38" s="8">
        <f>SUM(D39:D45)</f>
        <v>152500</v>
      </c>
      <c r="E38" s="8">
        <f t="shared" ref="E38:O38" si="6">SUM(E39:E45)</f>
        <v>40500</v>
      </c>
      <c r="F38" s="8">
        <f t="shared" si="6"/>
        <v>223000</v>
      </c>
      <c r="G38" s="8">
        <f t="shared" si="6"/>
        <v>70000</v>
      </c>
      <c r="H38" s="8">
        <f t="shared" si="6"/>
        <v>236000</v>
      </c>
      <c r="I38" s="8">
        <f t="shared" si="6"/>
        <v>105000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827000</v>
      </c>
    </row>
    <row r="39" spans="1:16" x14ac:dyDescent="0.25">
      <c r="A39" s="40" t="s">
        <v>26</v>
      </c>
      <c r="B39" s="29"/>
      <c r="C39" s="9"/>
      <c r="D39" s="1">
        <v>152500</v>
      </c>
      <c r="E39" s="1">
        <v>40500</v>
      </c>
      <c r="F39" s="1">
        <v>223000</v>
      </c>
      <c r="G39" s="1">
        <v>70000</v>
      </c>
      <c r="H39" s="1">
        <f>[1]VS!$G$37</f>
        <v>236000</v>
      </c>
      <c r="I39" s="1">
        <v>105000</v>
      </c>
      <c r="J39" s="1"/>
      <c r="K39" s="1"/>
      <c r="L39" s="1"/>
      <c r="M39" s="1"/>
      <c r="N39" s="1"/>
      <c r="O39" s="1"/>
      <c r="P39" s="16">
        <f t="shared" si="3"/>
        <v>827000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73478070</v>
      </c>
      <c r="C54" s="12">
        <f>C55+C56+C57+C58+C59+C60+C61+C62+C63</f>
        <v>-7292413.6500000004</v>
      </c>
      <c r="D54" s="8">
        <f>SUM(D55:D63)</f>
        <v>0</v>
      </c>
      <c r="E54" s="8">
        <f t="shared" ref="E54:O54" si="9">SUM(E55:E63)</f>
        <v>188800</v>
      </c>
      <c r="F54" s="8">
        <f t="shared" si="9"/>
        <v>7864784.3300000001</v>
      </c>
      <c r="G54" s="8">
        <f t="shared" si="9"/>
        <v>457840</v>
      </c>
      <c r="H54" s="8">
        <f t="shared" si="9"/>
        <v>288510</v>
      </c>
      <c r="I54" s="8">
        <f t="shared" si="9"/>
        <v>218772</v>
      </c>
      <c r="J54" s="8">
        <f t="shared" si="9"/>
        <v>0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9018706.3300000001</v>
      </c>
    </row>
    <row r="55" spans="1:16" ht="15" customHeight="1" x14ac:dyDescent="0.25">
      <c r="A55" s="40" t="s">
        <v>29</v>
      </c>
      <c r="B55" s="29">
        <f>4022500+200000+3000000+1159700+1000000</f>
        <v>9382200</v>
      </c>
      <c r="C55" s="9">
        <f>-500000-72345.71+18000</f>
        <v>-554345.71</v>
      </c>
      <c r="D55" s="1"/>
      <c r="E55" s="1">
        <v>0</v>
      </c>
      <c r="F55" s="1">
        <v>1908308.09</v>
      </c>
      <c r="G55" s="1">
        <v>59590</v>
      </c>
      <c r="H55" s="1">
        <v>0</v>
      </c>
      <c r="I55" s="1">
        <v>218772</v>
      </c>
      <c r="J55" s="1"/>
      <c r="K55" s="1"/>
      <c r="L55" s="1"/>
      <c r="M55" s="1"/>
      <c r="N55" s="1"/>
      <c r="O55" s="1"/>
      <c r="P55" s="16">
        <f t="shared" si="8"/>
        <v>2186670.09</v>
      </c>
    </row>
    <row r="56" spans="1:16" x14ac:dyDescent="0.25">
      <c r="A56" s="40" t="s">
        <v>30</v>
      </c>
      <c r="B56" s="29">
        <f>500000+668530</f>
        <v>1168530</v>
      </c>
      <c r="C56" s="9">
        <f>-668530-228847.95</f>
        <v>-897377.95</v>
      </c>
      <c r="D56" s="1"/>
      <c r="E56" s="1">
        <v>0</v>
      </c>
      <c r="F56" s="1">
        <v>0</v>
      </c>
      <c r="G56" s="1">
        <v>0</v>
      </c>
      <c r="H56" s="1"/>
      <c r="I56" s="1"/>
      <c r="J56" s="1"/>
      <c r="K56" s="1"/>
      <c r="L56" s="1"/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f>50000000+1000000</f>
        <v>51000000</v>
      </c>
      <c r="C57" s="9">
        <f>-4000000-500000</f>
        <v>-4500000</v>
      </c>
      <c r="D57" s="1"/>
      <c r="E57" s="1">
        <v>0</v>
      </c>
      <c r="F57" s="1">
        <v>4598041.58</v>
      </c>
      <c r="G57" s="1">
        <v>53100</v>
      </c>
      <c r="H57" s="1"/>
      <c r="I57" s="1"/>
      <c r="J57" s="1"/>
      <c r="K57" s="1"/>
      <c r="L57" s="1"/>
      <c r="M57" s="1"/>
      <c r="N57" s="1"/>
      <c r="O57" s="1"/>
      <c r="P57" s="16">
        <f t="shared" si="8"/>
        <v>4651141.58</v>
      </c>
    </row>
    <row r="58" spans="1:16" x14ac:dyDescent="0.25">
      <c r="A58" s="40" t="s">
        <v>32</v>
      </c>
      <c r="B58" s="29">
        <f>2727340+1000000+150000</f>
        <v>3877340</v>
      </c>
      <c r="C58" s="9">
        <f>-400000-40689.99</f>
        <v>-440689.99</v>
      </c>
      <c r="D58" s="1"/>
      <c r="E58" s="1">
        <v>0</v>
      </c>
      <c r="F58" s="1">
        <v>91500.01</v>
      </c>
      <c r="G58" s="1">
        <v>345150</v>
      </c>
      <c r="H58" s="1"/>
      <c r="I58" s="1"/>
      <c r="J58" s="1"/>
      <c r="K58" s="1"/>
      <c r="L58" s="1"/>
      <c r="M58" s="1"/>
      <c r="N58" s="1"/>
      <c r="O58" s="1"/>
      <c r="P58" s="16">
        <f t="shared" si="8"/>
        <v>436650.01</v>
      </c>
    </row>
    <row r="59" spans="1:16" x14ac:dyDescent="0.25">
      <c r="A59" s="40" t="s">
        <v>33</v>
      </c>
      <c r="B59" s="29">
        <f>700000+1450000+4000000+300000</f>
        <v>6450000</v>
      </c>
      <c r="C59" s="9">
        <v>0</v>
      </c>
      <c r="D59" s="1"/>
      <c r="E59" s="1">
        <v>188800</v>
      </c>
      <c r="F59" s="1">
        <v>1266934.6499999999</v>
      </c>
      <c r="G59" s="1">
        <v>0</v>
      </c>
      <c r="H59" s="1">
        <f>[1]VS!$G$56</f>
        <v>288510</v>
      </c>
      <c r="I59" s="1"/>
      <c r="J59" s="1"/>
      <c r="K59" s="1"/>
      <c r="L59" s="1"/>
      <c r="M59" s="1"/>
      <c r="N59" s="1"/>
      <c r="O59" s="1"/>
      <c r="P59" s="16">
        <f t="shared" si="8"/>
        <v>1744244.65</v>
      </c>
    </row>
    <row r="60" spans="1:16" x14ac:dyDescent="0.25">
      <c r="A60" s="40" t="s">
        <v>52</v>
      </c>
      <c r="B60" s="29">
        <v>600000</v>
      </c>
      <c r="C60" s="9">
        <v>-100000</v>
      </c>
      <c r="D60" s="1"/>
      <c r="E60" s="1">
        <v>0</v>
      </c>
      <c r="F60" s="1"/>
      <c r="G60" s="1">
        <v>0</v>
      </c>
      <c r="H60" s="1"/>
      <c r="I60" s="1"/>
      <c r="J60" s="1"/>
      <c r="K60" s="1"/>
      <c r="L60" s="1"/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/>
      <c r="G61" s="1">
        <v>0</v>
      </c>
      <c r="H61" s="1"/>
      <c r="I61" s="1"/>
      <c r="J61" s="1"/>
      <c r="K61" s="1"/>
      <c r="L61" s="1"/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-800000</v>
      </c>
      <c r="D62" s="1"/>
      <c r="E62" s="1">
        <v>0</v>
      </c>
      <c r="F62" s="1"/>
      <c r="G62" s="1">
        <v>0</v>
      </c>
      <c r="H62" s="1"/>
      <c r="I62" s="1"/>
      <c r="J62" s="1"/>
      <c r="K62" s="1"/>
      <c r="L62" s="1"/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/>
      <c r="G63" s="1">
        <v>0</v>
      </c>
      <c r="H63" s="1"/>
      <c r="I63" s="1"/>
      <c r="J63" s="1"/>
      <c r="K63" s="1"/>
      <c r="L63" s="1"/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1133035887</v>
      </c>
      <c r="C76" s="6">
        <f>C12+C18+C28+C38+C46+C54+C64+C69+C72</f>
        <v>-1.862645149230957E-9</v>
      </c>
      <c r="D76" s="6">
        <f>D12+D18+D28+D38+D46+D54+D64+D69+D72</f>
        <v>48194252.340000004</v>
      </c>
      <c r="E76" s="6">
        <f t="shared" ref="E76:P76" si="17">E12+E18+E28+E38+E46+E54+E64+E69+E72</f>
        <v>81661345.039999992</v>
      </c>
      <c r="F76" s="6">
        <f t="shared" si="17"/>
        <v>103187359.19</v>
      </c>
      <c r="G76" s="6">
        <f t="shared" si="17"/>
        <v>84072046.700000003</v>
      </c>
      <c r="H76" s="6">
        <f t="shared" si="17"/>
        <v>72679414.879999995</v>
      </c>
      <c r="I76" s="6">
        <f t="shared" si="17"/>
        <v>78322394.270000011</v>
      </c>
      <c r="J76" s="6">
        <f t="shared" si="17"/>
        <v>0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468116812.42000002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1133035887</v>
      </c>
      <c r="C88" s="41">
        <f>C76+C86</f>
        <v>-1.862645149230957E-9</v>
      </c>
      <c r="D88" s="41">
        <f t="shared" ref="D88:O88" si="19">D76+D86</f>
        <v>48194252.340000004</v>
      </c>
      <c r="E88" s="41">
        <f t="shared" si="19"/>
        <v>81661345.039999992</v>
      </c>
      <c r="F88" s="41">
        <f t="shared" si="19"/>
        <v>103187359.19</v>
      </c>
      <c r="G88" s="41">
        <f t="shared" si="19"/>
        <v>84072046.700000003</v>
      </c>
      <c r="H88" s="41">
        <f t="shared" si="19"/>
        <v>72679414.879999995</v>
      </c>
      <c r="I88" s="42">
        <f t="shared" si="19"/>
        <v>78322394.270000011</v>
      </c>
      <c r="J88" s="41">
        <f t="shared" si="19"/>
        <v>0</v>
      </c>
      <c r="K88" s="41">
        <f t="shared" si="19"/>
        <v>0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468116812.42000002</v>
      </c>
    </row>
    <row r="90" spans="1:16" x14ac:dyDescent="0.25">
      <c r="N90" s="46"/>
    </row>
    <row r="92" spans="1:16" x14ac:dyDescent="0.25">
      <c r="A92" s="31" t="s">
        <v>96</v>
      </c>
    </row>
    <row r="93" spans="1:16" x14ac:dyDescent="0.25">
      <c r="A93" s="30" t="s">
        <v>95</v>
      </c>
      <c r="C93">
        <v>1249277667.6800001</v>
      </c>
    </row>
    <row r="94" spans="1:16" x14ac:dyDescent="0.25">
      <c r="A94" s="31" t="s">
        <v>97</v>
      </c>
      <c r="C94" s="19">
        <f>C93-B88</f>
        <v>116241780.68000007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JUNIO-2025 (OAI)</vt:lpstr>
      <vt:lpstr>'EJECUCION JUNIO-2025 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Jose Villabrille Mendez</cp:lastModifiedBy>
  <cp:lastPrinted>2025-07-28T15:50:07Z</cp:lastPrinted>
  <dcterms:created xsi:type="dcterms:W3CDTF">2018-04-17T18:57:16Z</dcterms:created>
  <dcterms:modified xsi:type="dcterms:W3CDTF">2025-07-28T19:35:16Z</dcterms:modified>
</cp:coreProperties>
</file>